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autoCompressPictures="0"/>
  <workbookProtection lockStructure="1"/>
  <bookViews>
    <workbookView xWindow="0" yWindow="-465" windowWidth="19440" windowHeight="15600"/>
  </bookViews>
  <sheets>
    <sheet name="RESUMEN" sheetId="3" r:id="rId1"/>
    <sheet name="Electricidad" sheetId="1" r:id="rId2"/>
    <sheet name="Gas" sheetId="2" r:id="rId3"/>
    <sheet name="Tarifa Social" sheetId="5" r:id="rId4"/>
    <sheet name="Agua" sheetId="4" r:id="rId5"/>
  </sheets>
  <externalReferences>
    <externalReference r:id="rId6"/>
  </externalReferenc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2"/>
  <c r="C40"/>
  <c r="C41"/>
  <c r="C42"/>
  <c r="C43"/>
  <c r="C32"/>
  <c r="C25"/>
  <c r="C26"/>
  <c r="C27"/>
  <c r="C28"/>
  <c r="D21" i="5"/>
  <c r="C7"/>
  <c r="D6"/>
  <c r="D7"/>
  <c r="D8"/>
  <c r="D9"/>
  <c r="C22"/>
  <c r="C23"/>
  <c r="C24"/>
  <c r="C14"/>
  <c r="D22"/>
  <c r="D23"/>
  <c r="D24"/>
  <c r="D10"/>
  <c r="F9"/>
  <c r="F10"/>
  <c r="C8"/>
  <c r="C9"/>
  <c r="C10"/>
  <c r="C25"/>
  <c r="D25"/>
  <c r="D30"/>
  <c r="F16"/>
  <c r="D6" i="4"/>
  <c r="C7"/>
  <c r="C8"/>
  <c r="D7"/>
  <c r="D8"/>
  <c r="C7" i="3"/>
  <c r="D40" i="2"/>
  <c r="D41"/>
  <c r="D42"/>
  <c r="D25"/>
  <c r="D26"/>
  <c r="D27"/>
  <c r="D10"/>
  <c r="D11"/>
  <c r="D12"/>
  <c r="F29" i="1"/>
  <c r="F30"/>
  <c r="E29"/>
  <c r="E30"/>
  <c r="E31"/>
  <c r="F9"/>
  <c r="F10"/>
  <c r="F11"/>
  <c r="F12"/>
  <c r="E9"/>
  <c r="E10"/>
  <c r="E11"/>
  <c r="E12"/>
  <c r="C17" i="2"/>
  <c r="C10"/>
  <c r="C11"/>
  <c r="C12"/>
  <c r="C13"/>
  <c r="C37" i="1"/>
  <c r="D29"/>
  <c r="D30"/>
  <c r="D31"/>
  <c r="D32"/>
  <c r="C29"/>
  <c r="C30"/>
  <c r="C31"/>
  <c r="C32"/>
  <c r="C17"/>
  <c r="D9"/>
  <c r="D10"/>
  <c r="D11"/>
  <c r="D12"/>
  <c r="C9"/>
  <c r="C10"/>
  <c r="C11"/>
  <c r="C12"/>
  <c r="F31"/>
  <c r="F32"/>
  <c r="F21"/>
  <c r="F22"/>
  <c r="F20"/>
  <c r="F41"/>
  <c r="D19" i="2"/>
  <c r="D34"/>
  <c r="D49"/>
  <c r="D43"/>
  <c r="D28"/>
  <c r="D13"/>
  <c r="E32" i="1"/>
  <c r="D51" i="2"/>
  <c r="C6" i="3"/>
  <c r="F42" i="1"/>
  <c r="F40"/>
  <c r="F45"/>
  <c r="C5" i="3"/>
  <c r="C4"/>
</calcChain>
</file>

<file path=xl/comments1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sz val="9"/>
            <color indexed="81"/>
            <rFont val="Tahoma"/>
            <family val="2"/>
          </rPr>
          <t>Dato 2017. Fuente: CAMMESA</t>
        </r>
      </text>
    </comment>
    <comment ref="C6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C8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
Fuente: MINEM</t>
        </r>
      </text>
    </comment>
    <comment ref="D8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
Fuente: MINEM</t>
        </r>
      </text>
    </comment>
    <comment ref="E8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
Fuente: MINEM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
Fuente: MINEM</t>
        </r>
      </text>
    </comment>
    <comment ref="C14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C15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C16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C18" authorId="0">
      <text>
        <r>
          <rPr>
            <sz val="9"/>
            <color indexed="81"/>
            <rFont val="Tahoma"/>
            <family val="2"/>
          </rPr>
          <t>Informe de Cammesa a diciembre 2017 para el total del año</t>
        </r>
      </text>
    </comment>
    <comment ref="B25" authorId="0">
      <text>
        <r>
          <rPr>
            <sz val="9"/>
            <color indexed="81"/>
            <rFont val="Tahoma"/>
            <family val="2"/>
          </rPr>
          <t>Por falta de información correspondiente a consumo de MiPyMEs, se utiliza información correspondiente a la categoría de consumidores comerciales</t>
        </r>
      </text>
    </comment>
    <comment ref="C26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E26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C28" authorId="0">
      <text>
        <r>
          <rPr>
            <sz val="9"/>
            <color indexed="81"/>
            <rFont val="Tahoma"/>
            <family val="2"/>
          </rPr>
          <t>Precio estimado promedio 2018 para consumo comercial. 
Fuente: MINEM</t>
        </r>
      </text>
    </comment>
    <comment ref="D28" authorId="0">
      <text>
        <r>
          <rPr>
            <sz val="9"/>
            <color indexed="81"/>
            <rFont val="Tahoma"/>
            <family val="2"/>
          </rPr>
          <t>Precio estimado promedio 2018 para consumo comercial. 
Fuente: MINEM</t>
        </r>
      </text>
    </comment>
    <comment ref="E28" authorId="0">
      <text>
        <r>
          <rPr>
            <sz val="9"/>
            <color indexed="81"/>
            <rFont val="Tahoma"/>
            <family val="2"/>
          </rPr>
          <t>Precio estimado promedio 2018 para consumo comercial. 
Fuente: MINEM</t>
        </r>
      </text>
    </comment>
    <comment ref="F28" authorId="0">
      <text>
        <r>
          <rPr>
            <sz val="9"/>
            <color indexed="81"/>
            <rFont val="Tahoma"/>
            <family val="2"/>
          </rPr>
          <t>Precio estimado promedio 2018 para consumo comercial. 
Fuente: MINEM</t>
        </r>
      </text>
    </comment>
    <comment ref="C34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C35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C36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C38" authorId="0">
      <text>
        <r>
          <rPr>
            <sz val="9"/>
            <color indexed="81"/>
            <rFont val="Tahoma"/>
            <family val="2"/>
          </rPr>
          <t>Informe de Cammesa a diciembre 2017 para el total del año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sz val="9"/>
            <color indexed="81"/>
            <rFont val="Tahoma"/>
            <family val="2"/>
          </rPr>
          <t xml:space="preserve">Dato 2017. Fuente: MINEM
Se asume constante para 2018.
</t>
        </r>
      </text>
    </comment>
    <comment ref="C7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D7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C9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Surge de los contratos de abastecimiento entre productores y distribuidores, realizados en el marco del acuerdo que fija un sendero de precios para 2018-2019.
Fuente: MINEM</t>
        </r>
      </text>
    </comment>
    <comment ref="D9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Surge de los contratos de abastecimiento entre productores y distribuidores, realizados en el marco del acuerdo que fija un sendero de precios para 2018-2019.
Fuente: MINEM</t>
        </r>
      </text>
    </comment>
    <comment ref="C15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C16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C22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D22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C24" authorId="0">
      <text>
        <r>
          <rPr>
            <sz val="9"/>
            <color indexed="81"/>
            <rFont val="Tahoma"/>
            <family val="2"/>
          </rPr>
          <t>Precio estimado promedio 2018 para consumo residencial en Patagonia, La Pampa, Puna y Malargüe. Surge de los contratos de abastecimiento entre productores y distribuidores, realizados en el marco del acuerdo que fija un sendero de precios para 2018-2019.
Fuente: MINEM</t>
        </r>
      </text>
    </comment>
    <comment ref="D24" authorId="0">
      <text>
        <r>
          <rPr>
            <sz val="9"/>
            <color indexed="81"/>
            <rFont val="Tahoma"/>
            <family val="2"/>
          </rPr>
          <t>Precio estimado promedio 2018 para consumo residencial en Patagonia, La Pampa, Puna y Malargüe. Surge de los contratos de abastecimiento entre productores y distribuidores, realizados en el marco del acuerdo que fija un sendero de precios para 2018-2019.
Fuente: MINEM</t>
        </r>
      </text>
    </comment>
    <comment ref="C30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C31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B36" authorId="0">
      <text>
        <r>
          <rPr>
            <sz val="9"/>
            <color indexed="81"/>
            <rFont val="Tahoma"/>
            <family val="2"/>
          </rPr>
          <t>Por falta de información correspondiente a consumo de MiPyMEs, se utiliza información correspondiente a la categoría de consumidores comerciales</t>
        </r>
      </text>
    </comment>
    <comment ref="C37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D37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C39" authorId="0">
      <text>
        <r>
          <rPr>
            <sz val="9"/>
            <color indexed="81"/>
            <rFont val="Tahoma"/>
            <family val="2"/>
          </rPr>
          <t>Precio estimado promedio 2018 para consumo comercial. Surge de los contratos de abastecimiento entre productores y distribuidores, realizados en el marco del acuerdo que fija un sendero de precios para 2018-2019.
Fuente: MINEM</t>
        </r>
      </text>
    </comment>
    <comment ref="D39" authorId="0">
      <text>
        <r>
          <rPr>
            <sz val="9"/>
            <color indexed="81"/>
            <rFont val="Tahoma"/>
            <family val="2"/>
          </rPr>
          <t>Precio estimado promedio 2018 para consumo comercial. Surge de los contratos de abastecimiento entre productores y distribuidores, realizados en el marco del acuerdo que fija un sendero de precios para 2018-2019.
Fuente: MINEM</t>
        </r>
      </text>
    </comment>
    <comment ref="C45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C46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sz val="9"/>
            <color indexed="81"/>
            <rFont val="Tahoma"/>
            <family val="2"/>
          </rPr>
          <t>Por falta de información correspondiente al universo nuevo de beneficiarios no residenciales, se estiman los datos en base a los consumos de 2017</t>
        </r>
      </text>
    </comment>
    <comment ref="C4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C6" authorId="0">
      <text>
        <r>
          <rPr>
            <sz val="9"/>
            <color indexed="81"/>
            <rFont val="Tahoma"/>
            <family val="2"/>
          </rPr>
          <t>Precio estimado promedio 2018 para Tarifa Social. En diciembre de 2017 se redefinió el esquema de Tarifa Social Federal, que pasó a incluir un bloque de consumo gratuito y un segundo bloque con descuento de 75%.
Fuente: ENARGAS</t>
        </r>
      </text>
    </comment>
    <comment ref="C12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C13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B18" authorId="0">
      <text>
        <r>
          <rPr>
            <sz val="9"/>
            <color indexed="81"/>
            <rFont val="Tahoma"/>
            <family val="2"/>
          </rPr>
          <t>Por falta de información correspondiente al universo nuevo de beneficiarios no residenciales, se estiman los datos en base a los consumos de 2017</t>
        </r>
      </text>
    </comment>
    <comment ref="C19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C21" authorId="0">
      <text>
        <r>
          <rPr>
            <sz val="9"/>
            <color indexed="81"/>
            <rFont val="Tahoma"/>
            <family val="2"/>
          </rPr>
          <t>Precio estimado promedio 2018 para Tarifa Social. 
Fuente: ENRE</t>
        </r>
      </text>
    </comment>
    <comment ref="C27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Recaudación estimada en base a variación interanual de la tarifa promedio de AySA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Recaudación estimada en base a variación interanual de la tarifa promedio de AySA</t>
        </r>
      </text>
    </comment>
  </commentList>
</comments>
</file>

<file path=xl/sharedStrings.xml><?xml version="1.0" encoding="utf-8"?>
<sst xmlns="http://schemas.openxmlformats.org/spreadsheetml/2006/main" count="146" uniqueCount="61">
  <si>
    <t>Consumo total de energía eléctrica (GWh):</t>
  </si>
  <si>
    <t>Consumo Residencial con Tarifa Plena</t>
  </si>
  <si>
    <r>
      <rPr>
        <sz val="10"/>
        <color theme="1"/>
        <rFont val="Calibri"/>
        <family val="2"/>
      </rPr>
      <t>Componentes de la tarifa final</t>
    </r>
    <r>
      <rPr>
        <i/>
        <sz val="10"/>
        <color theme="1"/>
        <rFont val="Calibri"/>
        <family val="2"/>
        <scheme val="minor"/>
      </rPr>
      <t xml:space="preserve">
Valores en $ por MWh</t>
    </r>
  </si>
  <si>
    <t>Escenario base</t>
  </si>
  <si>
    <t>AMBA</t>
  </si>
  <si>
    <t>Resto país</t>
  </si>
  <si>
    <t>Generación y Transporte</t>
  </si>
  <si>
    <t>Distribución</t>
  </si>
  <si>
    <t>Total (sin IVA)</t>
  </si>
  <si>
    <t>IVA</t>
  </si>
  <si>
    <t>TOTAL FACTURA</t>
  </si>
  <si>
    <t>Participación de segmento de Distribución en la Tarifa (sin IVA) - Total País</t>
  </si>
  <si>
    <t>Participación de segmento de Distribución en la Tarifa (sin IVA) - AMBA</t>
  </si>
  <si>
    <t>Participación de Consumo Residencial con Tarifa Plena</t>
  </si>
  <si>
    <t>Consumo físico (GWh)</t>
  </si>
  <si>
    <t>Participación de AMBA en consumo total</t>
  </si>
  <si>
    <t>PÉRDIDA DE RECAUDACIÓN DE IVA</t>
  </si>
  <si>
    <t>Consumo MiPyMEs</t>
  </si>
  <si>
    <t>Participación Consumo Comercial</t>
  </si>
  <si>
    <t>PÉRDIDA POR IVA</t>
  </si>
  <si>
    <t>Consumo total de gas natural por redes (millones de BTU):</t>
  </si>
  <si>
    <r>
      <rPr>
        <sz val="10"/>
        <color theme="1"/>
        <rFont val="Calibri"/>
        <family val="2"/>
      </rPr>
      <t xml:space="preserve">Componentes de la tarifa final
</t>
    </r>
    <r>
      <rPr>
        <i/>
        <sz val="10"/>
        <color theme="1"/>
        <rFont val="Calibri"/>
        <family val="2"/>
        <scheme val="minor"/>
      </rPr>
      <t xml:space="preserve">Valores en $ o US$ por millón de BTU </t>
    </r>
  </si>
  <si>
    <t>en USD</t>
  </si>
  <si>
    <t>Gas natural</t>
  </si>
  <si>
    <t>Transporte y distribución</t>
  </si>
  <si>
    <t>Participación de Transporte y Distribución en la Tarifa (sin IVA)</t>
  </si>
  <si>
    <t>Consumo físico (millones de BTU)</t>
  </si>
  <si>
    <t>Consumo Residencial Patagonia</t>
  </si>
  <si>
    <t>Participación de Consumo Residencial Patagonia</t>
  </si>
  <si>
    <t>Participación de Consumo Comercial</t>
  </si>
  <si>
    <t>Escenario dictamen minoría</t>
  </si>
  <si>
    <t>Participación de AMBA en consumo residencial total</t>
  </si>
  <si>
    <t>Electricidad</t>
  </si>
  <si>
    <t>Gas</t>
  </si>
  <si>
    <t>Agua</t>
  </si>
  <si>
    <t>Diferencia</t>
  </si>
  <si>
    <t>Resto</t>
  </si>
  <si>
    <t>Tipo de cambio</t>
  </si>
  <si>
    <t>En millones de pesos</t>
  </si>
  <si>
    <t>Estimación del costo fiscal del dictamen de minoría en el Senado sobre tarifas</t>
  </si>
  <si>
    <t>millones de pesos</t>
  </si>
  <si>
    <t xml:space="preserve">RESPONSABLES INSCRIPTOS y MONOTRIBUTISTAS </t>
  </si>
  <si>
    <t>2017*</t>
  </si>
  <si>
    <t>2018**</t>
  </si>
  <si>
    <t>* Dato de AFIP</t>
  </si>
  <si>
    <t>**Estimación en base a suba promedio de tarifa de AYSA</t>
  </si>
  <si>
    <t>Consumo Tarifa Social GAS</t>
  </si>
  <si>
    <t>Alícuota IVA</t>
  </si>
  <si>
    <t>en $</t>
  </si>
  <si>
    <t>Participación de Tarifa Social en consumo total de gas</t>
  </si>
  <si>
    <t>Consumo físico de Tarifa Social (millones de BTU)</t>
  </si>
  <si>
    <t>millones de $</t>
  </si>
  <si>
    <t>Consumo Tarifa Social ELECTRICIDAD</t>
  </si>
  <si>
    <t>Consumo físico de Tarifa Social (GWh)</t>
  </si>
  <si>
    <t>Dictamen</t>
  </si>
  <si>
    <t>PROVINCIAS</t>
  </si>
  <si>
    <t>ATN</t>
  </si>
  <si>
    <t>ADMINISTRACIÓN NACIONAL</t>
  </si>
  <si>
    <t>Sector Eléctrico: Estimación de Impacto Fiscal anual</t>
  </si>
  <si>
    <t>CONSUMIDORES FINALES, RESPONSABLES EXENTOS Y NO ALCANZADOS</t>
  </si>
  <si>
    <t>Estimación con dictamen</t>
  </si>
</sst>
</file>

<file path=xl/styles.xml><?xml version="1.0" encoding="utf-8"?>
<styleSheet xmlns="http://schemas.openxmlformats.org/spreadsheetml/2006/main">
  <numFmts count="13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&quot;$&quot;#,##0"/>
    <numFmt numFmtId="167" formatCode="&quot;$&quot;#,##0.0"/>
    <numFmt numFmtId="168" formatCode="&quot;$&quot;#,##0_);\(&quot;$&quot;#,##0\)"/>
    <numFmt numFmtId="169" formatCode="[$USD]\ #,##0.00;[$USD]\ \-#,##0.00"/>
    <numFmt numFmtId="170" formatCode="_ &quot;$&quot;\ * #,##0_ ;_ &quot;$&quot;\ * \-#,##0_ ;_ &quot;$&quot;\ * &quot;-&quot;??_ ;_ @_ "/>
    <numFmt numFmtId="171" formatCode="0.0%"/>
    <numFmt numFmtId="172" formatCode="0_ ;\-0\ "/>
    <numFmt numFmtId="173" formatCode="&quot;$&quot;#,##0.0_);\(&quot;$&quot;#,##0.0\)"/>
    <numFmt numFmtId="174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2" borderId="0" xfId="1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166" fontId="4" fillId="2" borderId="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66" fontId="4" fillId="4" borderId="0" xfId="2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9" fontId="4" fillId="2" borderId="0" xfId="0" applyNumberFormat="1" applyFont="1" applyFill="1" applyBorder="1" applyAlignment="1">
      <alignment vertical="center"/>
    </xf>
    <xf numFmtId="9" fontId="4" fillId="2" borderId="0" xfId="3" applyFont="1" applyFill="1" applyBorder="1" applyAlignment="1">
      <alignment vertical="center"/>
    </xf>
    <xf numFmtId="165" fontId="4" fillId="5" borderId="0" xfId="1" applyNumberFormat="1" applyFont="1" applyFill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8" fontId="4" fillId="2" borderId="0" xfId="2" applyNumberFormat="1" applyFont="1" applyFill="1" applyBorder="1" applyAlignment="1">
      <alignment vertical="center"/>
    </xf>
    <xf numFmtId="168" fontId="4" fillId="0" borderId="0" xfId="2" applyNumberFormat="1" applyFont="1" applyFill="1" applyBorder="1" applyAlignment="1">
      <alignment vertical="center"/>
    </xf>
    <xf numFmtId="168" fontId="4" fillId="4" borderId="0" xfId="2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165" fontId="0" fillId="0" borderId="2" xfId="1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9" fontId="4" fillId="2" borderId="0" xfId="2" applyNumberFormat="1" applyFont="1" applyFill="1" applyBorder="1" applyAlignment="1">
      <alignment vertical="center"/>
    </xf>
    <xf numFmtId="169" fontId="4" fillId="0" borderId="0" xfId="2" applyNumberFormat="1" applyFont="1" applyFill="1" applyBorder="1" applyAlignment="1">
      <alignment vertical="center"/>
    </xf>
    <xf numFmtId="169" fontId="4" fillId="4" borderId="0" xfId="2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69" fontId="0" fillId="0" borderId="0" xfId="2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9" fontId="4" fillId="0" borderId="0" xfId="3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0" fillId="0" borderId="2" xfId="0" applyBorder="1"/>
    <xf numFmtId="0" fontId="0" fillId="0" borderId="15" xfId="0" applyBorder="1"/>
    <xf numFmtId="0" fontId="4" fillId="0" borderId="17" xfId="0" applyFont="1" applyBorder="1" applyAlignment="1">
      <alignment horizontal="center" vertical="center"/>
    </xf>
    <xf numFmtId="166" fontId="4" fillId="2" borderId="18" xfId="2" applyNumberFormat="1" applyFont="1" applyFill="1" applyBorder="1" applyAlignment="1">
      <alignment vertical="center"/>
    </xf>
    <xf numFmtId="166" fontId="4" fillId="0" borderId="18" xfId="2" applyNumberFormat="1" applyFont="1" applyFill="1" applyBorder="1" applyAlignment="1">
      <alignment vertical="center"/>
    </xf>
    <xf numFmtId="166" fontId="4" fillId="4" borderId="18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18" xfId="0" applyBorder="1"/>
    <xf numFmtId="166" fontId="0" fillId="0" borderId="0" xfId="0" applyNumberFormat="1" applyBorder="1"/>
    <xf numFmtId="170" fontId="2" fillId="7" borderId="19" xfId="2" applyNumberFormat="1" applyFont="1" applyFill="1" applyBorder="1"/>
    <xf numFmtId="0" fontId="5" fillId="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9" fontId="4" fillId="2" borderId="18" xfId="2" applyNumberFormat="1" applyFont="1" applyFill="1" applyBorder="1" applyAlignment="1">
      <alignment vertical="center"/>
    </xf>
    <xf numFmtId="169" fontId="4" fillId="0" borderId="18" xfId="2" applyNumberFormat="1" applyFont="1" applyFill="1" applyBorder="1" applyAlignment="1">
      <alignment vertical="center"/>
    </xf>
    <xf numFmtId="169" fontId="4" fillId="4" borderId="18" xfId="2" applyNumberFormat="1" applyFont="1" applyFill="1" applyBorder="1" applyAlignment="1">
      <alignment vertical="center"/>
    </xf>
    <xf numFmtId="170" fontId="5" fillId="6" borderId="14" xfId="2" applyNumberFormat="1" applyFont="1" applyFill="1" applyBorder="1" applyAlignment="1">
      <alignment vertical="center"/>
    </xf>
    <xf numFmtId="170" fontId="2" fillId="6" borderId="14" xfId="2" applyNumberFormat="1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170" fontId="12" fillId="7" borderId="14" xfId="0" applyNumberFormat="1" applyFont="1" applyFill="1" applyBorder="1" applyAlignment="1">
      <alignment vertical="center"/>
    </xf>
    <xf numFmtId="0" fontId="13" fillId="3" borderId="20" xfId="0" applyFont="1" applyFill="1" applyBorder="1" applyAlignment="1">
      <alignment horizontal="left" vertical="center" indent="1"/>
    </xf>
    <xf numFmtId="0" fontId="13" fillId="3" borderId="21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left" vertical="center" indent="1"/>
    </xf>
    <xf numFmtId="170" fontId="2" fillId="7" borderId="14" xfId="0" applyNumberFormat="1" applyFont="1" applyFill="1" applyBorder="1" applyAlignment="1">
      <alignment vertical="center"/>
    </xf>
    <xf numFmtId="168" fontId="4" fillId="2" borderId="18" xfId="2" applyNumberFormat="1" applyFont="1" applyFill="1" applyBorder="1" applyAlignment="1">
      <alignment vertical="center"/>
    </xf>
    <xf numFmtId="168" fontId="4" fillId="0" borderId="18" xfId="2" applyNumberFormat="1" applyFont="1" applyFill="1" applyBorder="1" applyAlignment="1">
      <alignment vertical="center"/>
    </xf>
    <xf numFmtId="168" fontId="4" fillId="4" borderId="18" xfId="2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0" xfId="0" applyBorder="1"/>
    <xf numFmtId="170" fontId="2" fillId="7" borderId="18" xfId="0" applyNumberFormat="1" applyFont="1" applyFill="1" applyBorder="1"/>
    <xf numFmtId="170" fontId="1" fillId="0" borderId="15" xfId="2" applyNumberFormat="1" applyFont="1" applyFill="1" applyBorder="1"/>
    <xf numFmtId="170" fontId="1" fillId="0" borderId="19" xfId="2" applyNumberFormat="1" applyFont="1" applyFill="1" applyBorder="1"/>
    <xf numFmtId="0" fontId="0" fillId="0" borderId="0" xfId="0"/>
    <xf numFmtId="171" fontId="0" fillId="0" borderId="0" xfId="3" applyNumberFormat="1" applyFont="1"/>
    <xf numFmtId="165" fontId="0" fillId="0" borderId="0" xfId="1" applyNumberFormat="1" applyFont="1"/>
    <xf numFmtId="0" fontId="15" fillId="8" borderId="22" xfId="0" applyFont="1" applyFill="1" applyBorder="1"/>
    <xf numFmtId="0" fontId="4" fillId="8" borderId="0" xfId="0" applyFont="1" applyFill="1" applyBorder="1"/>
    <xf numFmtId="170" fontId="16" fillId="0" borderId="0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173" fontId="4" fillId="0" borderId="18" xfId="2" applyNumberFormat="1" applyFont="1" applyFill="1" applyBorder="1" applyAlignment="1">
      <alignment vertical="center"/>
    </xf>
    <xf numFmtId="171" fontId="4" fillId="2" borderId="0" xfId="2" applyNumberFormat="1" applyFont="1" applyFill="1" applyBorder="1" applyAlignment="1">
      <alignment vertical="center"/>
    </xf>
    <xf numFmtId="44" fontId="4" fillId="4" borderId="0" xfId="2" applyFont="1" applyFill="1" applyBorder="1" applyAlignment="1">
      <alignment vertical="center"/>
    </xf>
    <xf numFmtId="173" fontId="4" fillId="4" borderId="18" xfId="2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174" fontId="5" fillId="0" borderId="10" xfId="2" applyNumberFormat="1" applyFont="1" applyFill="1" applyBorder="1" applyAlignment="1">
      <alignment vertical="center"/>
    </xf>
    <xf numFmtId="174" fontId="0" fillId="0" borderId="0" xfId="0" applyNumberForma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5" fillId="0" borderId="8" xfId="2" applyNumberFormat="1" applyFont="1" applyFill="1" applyBorder="1" applyAlignment="1">
      <alignment vertical="center"/>
    </xf>
    <xf numFmtId="166" fontId="4" fillId="0" borderId="8" xfId="2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vertical="center"/>
    </xf>
    <xf numFmtId="165" fontId="4" fillId="0" borderId="0" xfId="1" applyNumberFormat="1" applyFont="1" applyAlignme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vertical="center"/>
    </xf>
    <xf numFmtId="165" fontId="4" fillId="0" borderId="18" xfId="1" applyNumberFormat="1" applyFont="1" applyFill="1" applyBorder="1" applyAlignment="1">
      <alignment vertical="center"/>
    </xf>
    <xf numFmtId="0" fontId="13" fillId="3" borderId="25" xfId="0" applyFont="1" applyFill="1" applyBorder="1" applyAlignment="1">
      <alignment horizontal="left" vertical="center" indent="1"/>
    </xf>
    <xf numFmtId="170" fontId="16" fillId="7" borderId="25" xfId="0" applyNumberFormat="1" applyFont="1" applyFill="1" applyBorder="1" applyAlignment="1">
      <alignment vertical="center"/>
    </xf>
    <xf numFmtId="0" fontId="13" fillId="3" borderId="26" xfId="0" applyFont="1" applyFill="1" applyBorder="1" applyAlignment="1">
      <alignment horizontal="left" vertical="center" indent="1"/>
    </xf>
    <xf numFmtId="170" fontId="16" fillId="7" borderId="26" xfId="0" applyNumberFormat="1" applyFont="1" applyFill="1" applyBorder="1" applyAlignment="1">
      <alignment vertical="center"/>
    </xf>
    <xf numFmtId="0" fontId="0" fillId="8" borderId="0" xfId="0" applyFill="1"/>
    <xf numFmtId="171" fontId="0" fillId="8" borderId="0" xfId="3" applyNumberFormat="1" applyFont="1" applyFill="1"/>
    <xf numFmtId="172" fontId="0" fillId="0" borderId="7" xfId="1" applyNumberFormat="1" applyFont="1" applyBorder="1"/>
    <xf numFmtId="170" fontId="0" fillId="0" borderId="7" xfId="2" applyNumberFormat="1" applyFont="1" applyBorder="1"/>
    <xf numFmtId="0" fontId="0" fillId="0" borderId="0" xfId="0" applyFont="1"/>
    <xf numFmtId="17" fontId="0" fillId="0" borderId="7" xfId="0" applyNumberFormat="1" applyFont="1" applyBorder="1"/>
    <xf numFmtId="0" fontId="0" fillId="0" borderId="7" xfId="0" applyFont="1" applyBorder="1" applyAlignment="1">
      <alignment horizontal="center" vertical="center" wrapText="1"/>
    </xf>
    <xf numFmtId="171" fontId="0" fillId="0" borderId="0" xfId="3" applyNumberFormat="1" applyFont="1" applyBorder="1"/>
    <xf numFmtId="0" fontId="0" fillId="0" borderId="7" xfId="0" applyFont="1" applyBorder="1"/>
    <xf numFmtId="170" fontId="0" fillId="0" borderId="7" xfId="0" applyNumberFormat="1" applyFont="1" applyBorder="1"/>
    <xf numFmtId="165" fontId="0" fillId="0" borderId="0" xfId="0" applyNumberFormat="1" applyFont="1"/>
    <xf numFmtId="0" fontId="2" fillId="0" borderId="7" xfId="0" applyFont="1" applyBorder="1"/>
    <xf numFmtId="170" fontId="2" fillId="0" borderId="7" xfId="0" applyNumberFormat="1" applyFont="1" applyBorder="1"/>
    <xf numFmtId="172" fontId="0" fillId="7" borderId="7" xfId="1" applyNumberFormat="1" applyFont="1" applyFill="1" applyBorder="1"/>
    <xf numFmtId="170" fontId="0" fillId="7" borderId="7" xfId="2" applyNumberFormat="1" applyFont="1" applyFill="1" applyBorder="1"/>
    <xf numFmtId="0" fontId="4" fillId="0" borderId="0" xfId="0" applyFont="1"/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5"/>
    <cellStyle name="Comma 3" xfId="6"/>
    <cellStyle name="Currency" xfId="2" builtinId="4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laria\Downloads\Estimaci&#243;n%20Costo%20Fiscal%20del%20Proyecto%20Tarifas%20(Gas%20y%20Electricidad)%2021-May-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Gas natural"/>
      <sheetName val="Electricidad"/>
      <sheetName val="Tarifa Social y GLP"/>
      <sheetName val="Hoja de datos"/>
      <sheetName val="DEMANDA electricidad"/>
      <sheetName val="DEMANDA gas"/>
    </sheetNames>
    <sheetDataSet>
      <sheetData sheetId="0"/>
      <sheetData sheetId="1">
        <row r="3">
          <cell r="C3">
            <v>1745</v>
          </cell>
        </row>
        <row r="55">
          <cell r="C55">
            <v>0.52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G29" sqref="G29"/>
    </sheetView>
  </sheetViews>
  <sheetFormatPr defaultColWidth="8.85546875" defaultRowHeight="15"/>
  <cols>
    <col min="1" max="1" width="5" customWidth="1"/>
    <col min="2" max="2" width="56.28515625" bestFit="1" customWidth="1"/>
    <col min="3" max="3" width="10.42578125" bestFit="1" customWidth="1"/>
    <col min="4" max="4" width="11.140625" bestFit="1" customWidth="1"/>
    <col min="5" max="5" width="10.140625" bestFit="1" customWidth="1"/>
    <col min="6" max="6" width="8.85546875" style="87"/>
  </cols>
  <sheetData>
    <row r="1" spans="1:6" ht="18.75">
      <c r="A1" s="89" t="s">
        <v>39</v>
      </c>
      <c r="B1" s="121" t="s">
        <v>58</v>
      </c>
      <c r="C1" s="121"/>
      <c r="D1" s="121"/>
      <c r="E1" s="121"/>
    </row>
    <row r="2" spans="1:6">
      <c r="A2" s="90" t="s">
        <v>38</v>
      </c>
      <c r="B2" s="121"/>
      <c r="C2" s="121"/>
      <c r="D2" s="121"/>
      <c r="E2" s="121"/>
    </row>
    <row r="3" spans="1:6" s="86" customFormat="1" ht="15.75" thickBot="1">
      <c r="A3" s="90"/>
      <c r="B3" s="121"/>
      <c r="C3" s="121"/>
      <c r="D3" s="121"/>
      <c r="E3" s="121"/>
      <c r="F3" s="87"/>
    </row>
    <row r="4" spans="1:6" ht="16.5" thickBot="1">
      <c r="A4" s="121"/>
      <c r="B4" s="72" t="s">
        <v>16</v>
      </c>
      <c r="C4" s="73">
        <f>C6+C5+C7</f>
        <v>26091.625327543159</v>
      </c>
      <c r="D4" s="121"/>
      <c r="E4" s="121"/>
    </row>
    <row r="5" spans="1:6" ht="16.5" thickBot="1">
      <c r="A5" s="121"/>
      <c r="B5" s="74" t="s">
        <v>32</v>
      </c>
      <c r="C5" s="77">
        <f>+Electricidad!F45+'Tarifa Social'!D30</f>
        <v>15704.905285440798</v>
      </c>
      <c r="D5" s="121"/>
      <c r="E5" s="121"/>
    </row>
    <row r="6" spans="1:6" ht="16.5" thickBot="1">
      <c r="A6" s="121"/>
      <c r="B6" s="75" t="s">
        <v>33</v>
      </c>
      <c r="C6" s="77">
        <f>+Gas!D51+'Tarifa Social'!F16</f>
        <v>7386.7416791875012</v>
      </c>
      <c r="D6" s="121"/>
      <c r="E6" s="121"/>
    </row>
    <row r="7" spans="1:6" ht="16.5" thickBot="1">
      <c r="A7" s="121"/>
      <c r="B7" s="76" t="s">
        <v>34</v>
      </c>
      <c r="C7" s="77">
        <f>+Agua!C8+Agua!D8</f>
        <v>2999.9783629148596</v>
      </c>
      <c r="D7" s="121"/>
      <c r="E7" s="121"/>
    </row>
    <row r="8" spans="1:6" s="86" customFormat="1" ht="15.75">
      <c r="A8" s="121"/>
      <c r="B8" s="117" t="s">
        <v>57</v>
      </c>
      <c r="C8" s="118">
        <v>12489.880469883699</v>
      </c>
      <c r="D8" s="122"/>
      <c r="E8" s="121"/>
      <c r="F8" s="87"/>
    </row>
    <row r="9" spans="1:6" s="86" customFormat="1" ht="15.75">
      <c r="A9" s="121"/>
      <c r="B9" s="117" t="s">
        <v>55</v>
      </c>
      <c r="C9" s="118">
        <v>13387.609688381541</v>
      </c>
      <c r="D9" s="122"/>
      <c r="E9" s="121"/>
      <c r="F9" s="87"/>
    </row>
    <row r="10" spans="1:6" ht="16.5" thickBot="1">
      <c r="A10" s="121"/>
      <c r="B10" s="119" t="s">
        <v>56</v>
      </c>
      <c r="C10" s="120">
        <v>214.1351692779117</v>
      </c>
      <c r="D10" s="121"/>
      <c r="E10" s="121"/>
    </row>
    <row r="11" spans="1:6">
      <c r="A11" s="121"/>
      <c r="B11" s="121"/>
      <c r="C11" s="121"/>
      <c r="D11" s="121"/>
    </row>
  </sheetData>
  <sheetProtection sheet="1" objects="1" scenarios="1" selectLockedCells="1" selectUnlockedCell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workbookViewId="0">
      <selection activeCell="G29" sqref="G29"/>
    </sheetView>
  </sheetViews>
  <sheetFormatPr defaultColWidth="8.85546875" defaultRowHeight="15"/>
  <cols>
    <col min="1" max="1" width="5.85546875" customWidth="1"/>
    <col min="2" max="2" width="61.140625" style="2" customWidth="1"/>
    <col min="3" max="4" width="11.42578125" style="2" customWidth="1"/>
    <col min="5" max="5" width="10.42578125" bestFit="1" customWidth="1"/>
    <col min="6" max="6" width="11.140625" bestFit="1" customWidth="1"/>
  </cols>
  <sheetData>
    <row r="1" spans="2:6" ht="18.75">
      <c r="B1" s="1" t="s">
        <v>58</v>
      </c>
    </row>
    <row r="2" spans="2:6">
      <c r="B2" s="3"/>
    </row>
    <row r="3" spans="2:6">
      <c r="B3" s="2" t="s">
        <v>0</v>
      </c>
      <c r="C3" s="4">
        <v>132426.064312</v>
      </c>
    </row>
    <row r="4" spans="2:6" ht="15.75" thickBot="1">
      <c r="B4" s="3"/>
    </row>
    <row r="5" spans="2:6">
      <c r="B5" s="5" t="s">
        <v>1</v>
      </c>
      <c r="C5" s="6"/>
      <c r="D5" s="6"/>
      <c r="E5" s="55"/>
      <c r="F5" s="56"/>
    </row>
    <row r="6" spans="2:6" ht="30" customHeight="1">
      <c r="B6" s="137" t="s">
        <v>2</v>
      </c>
      <c r="C6" s="139" t="s">
        <v>3</v>
      </c>
      <c r="D6" s="140"/>
      <c r="E6" s="139" t="s">
        <v>30</v>
      </c>
      <c r="F6" s="141"/>
    </row>
    <row r="7" spans="2:6">
      <c r="B7" s="138"/>
      <c r="C7" s="7" t="s">
        <v>4</v>
      </c>
      <c r="D7" s="7" t="s">
        <v>5</v>
      </c>
      <c r="E7" s="7" t="s">
        <v>4</v>
      </c>
      <c r="F7" s="57" t="s">
        <v>5</v>
      </c>
    </row>
    <row r="8" spans="2:6">
      <c r="B8" s="8" t="s">
        <v>6</v>
      </c>
      <c r="C8" s="9">
        <v>1191</v>
      </c>
      <c r="D8" s="9">
        <v>1191</v>
      </c>
      <c r="E8" s="9">
        <v>1191</v>
      </c>
      <c r="F8" s="58">
        <v>1191</v>
      </c>
    </row>
    <row r="9" spans="2:6">
      <c r="B9" s="8" t="s">
        <v>7</v>
      </c>
      <c r="C9" s="10">
        <f>+C8*$C$15/(1-$C$15)</f>
        <v>669.9375</v>
      </c>
      <c r="D9" s="10">
        <f>+D8*$C$14/(1-$C$14)</f>
        <v>1290.2500000000002</v>
      </c>
      <c r="E9" s="10">
        <f>+E8*$C$15/(1-$C$15)</f>
        <v>669.9375</v>
      </c>
      <c r="F9" s="59">
        <f>+F8*$C$14/(1-$C$14)</f>
        <v>1290.2500000000002</v>
      </c>
    </row>
    <row r="10" spans="2:6">
      <c r="B10" s="8" t="s">
        <v>8</v>
      </c>
      <c r="C10" s="10">
        <f t="shared" ref="C10:D10" si="0">+C8+C9</f>
        <v>1860.9375</v>
      </c>
      <c r="D10" s="10">
        <f t="shared" si="0"/>
        <v>2481.25</v>
      </c>
      <c r="E10" s="10">
        <f t="shared" ref="E10:F10" si="1">+E8+E9</f>
        <v>1860.9375</v>
      </c>
      <c r="F10" s="59">
        <f t="shared" si="1"/>
        <v>2481.25</v>
      </c>
    </row>
    <row r="11" spans="2:6">
      <c r="B11" s="8" t="s">
        <v>9</v>
      </c>
      <c r="C11" s="10">
        <f>+C10*0.21</f>
        <v>390.796875</v>
      </c>
      <c r="D11" s="10">
        <f>+D10*0.21</f>
        <v>521.0625</v>
      </c>
      <c r="E11" s="10">
        <f>+E10*0.105</f>
        <v>195.3984375</v>
      </c>
      <c r="F11" s="59">
        <f>+F10*0.105</f>
        <v>260.53125</v>
      </c>
    </row>
    <row r="12" spans="2:6">
      <c r="B12" s="11" t="s">
        <v>10</v>
      </c>
      <c r="C12" s="12">
        <f t="shared" ref="C12:F12" si="2">+C11+C10</f>
        <v>2251.734375</v>
      </c>
      <c r="D12" s="12">
        <f t="shared" si="2"/>
        <v>3002.3125</v>
      </c>
      <c r="E12" s="12">
        <f t="shared" si="2"/>
        <v>2056.3359375</v>
      </c>
      <c r="F12" s="60">
        <f t="shared" si="2"/>
        <v>2741.78125</v>
      </c>
    </row>
    <row r="13" spans="2:6">
      <c r="B13" s="13"/>
      <c r="C13" s="14"/>
      <c r="D13" s="14"/>
      <c r="E13" s="61"/>
      <c r="F13" s="62"/>
    </row>
    <row r="14" spans="2:6">
      <c r="B14" s="13" t="s">
        <v>11</v>
      </c>
      <c r="C14" s="15">
        <v>0.52</v>
      </c>
      <c r="D14" s="14"/>
      <c r="E14" s="61"/>
      <c r="F14" s="62"/>
    </row>
    <row r="15" spans="2:6">
      <c r="B15" s="13" t="s">
        <v>12</v>
      </c>
      <c r="C15" s="15">
        <v>0.36</v>
      </c>
      <c r="D15" s="14"/>
      <c r="E15" s="61"/>
      <c r="F15" s="62"/>
    </row>
    <row r="16" spans="2:6">
      <c r="B16" s="13" t="s">
        <v>13</v>
      </c>
      <c r="C16" s="16">
        <v>0.28801040911508796</v>
      </c>
      <c r="D16" s="14"/>
      <c r="E16" s="61"/>
      <c r="F16" s="62"/>
    </row>
    <row r="17" spans="2:6">
      <c r="B17" s="13" t="s">
        <v>14</v>
      </c>
      <c r="C17" s="17">
        <f>+C3*C16</f>
        <v>38140.084960000073</v>
      </c>
      <c r="D17" s="14"/>
      <c r="E17" s="61"/>
      <c r="F17" s="62"/>
    </row>
    <row r="18" spans="2:6">
      <c r="B18" s="13" t="s">
        <v>31</v>
      </c>
      <c r="C18" s="18">
        <v>0.39613502546849028</v>
      </c>
      <c r="D18" s="53"/>
      <c r="E18" s="63"/>
      <c r="F18" s="62"/>
    </row>
    <row r="19" spans="2:6">
      <c r="B19" s="13"/>
      <c r="C19" s="18"/>
      <c r="D19" s="54"/>
      <c r="E19" s="63"/>
      <c r="F19" s="62"/>
    </row>
    <row r="20" spans="2:6" ht="15.75" thickBot="1">
      <c r="B20" s="19" t="s">
        <v>16</v>
      </c>
      <c r="C20" s="20"/>
      <c r="D20" s="20"/>
      <c r="E20" s="61"/>
      <c r="F20" s="83">
        <f>+F21+F22</f>
        <v>8952.6168664178385</v>
      </c>
    </row>
    <row r="21" spans="2:6">
      <c r="B21" s="29" t="s">
        <v>4</v>
      </c>
      <c r="C21" s="20"/>
      <c r="D21" s="20"/>
      <c r="E21" s="61"/>
      <c r="F21" s="84">
        <f>+(C11-E11)*C18*$C$17/1000</f>
        <v>2952.2014299515417</v>
      </c>
    </row>
    <row r="22" spans="2:6" ht="15.75" thickBot="1">
      <c r="B22" s="81" t="s">
        <v>36</v>
      </c>
      <c r="C22" s="22"/>
      <c r="D22" s="22"/>
      <c r="E22" s="82"/>
      <c r="F22" s="85">
        <f>+(D11-F11)*(1-C18)*$C$17/1000</f>
        <v>6000.4154364662973</v>
      </c>
    </row>
    <row r="23" spans="2:6">
      <c r="B23" s="23"/>
      <c r="C23" s="24"/>
      <c r="D23" s="24"/>
    </row>
    <row r="24" spans="2:6" ht="15.75" thickBot="1"/>
    <row r="25" spans="2:6">
      <c r="B25" s="5" t="s">
        <v>17</v>
      </c>
      <c r="C25" s="6"/>
      <c r="D25" s="6"/>
      <c r="E25" s="55"/>
      <c r="F25" s="56"/>
    </row>
    <row r="26" spans="2:6" ht="28.5" customHeight="1">
      <c r="B26" s="137" t="s">
        <v>2</v>
      </c>
      <c r="C26" s="139" t="s">
        <v>3</v>
      </c>
      <c r="D26" s="140"/>
      <c r="E26" s="139" t="s">
        <v>30</v>
      </c>
      <c r="F26" s="141"/>
    </row>
    <row r="27" spans="2:6">
      <c r="B27" s="138"/>
      <c r="C27" s="7" t="s">
        <v>4</v>
      </c>
      <c r="D27" s="7" t="s">
        <v>5</v>
      </c>
      <c r="E27" s="7" t="s">
        <v>4</v>
      </c>
      <c r="F27" s="57" t="s">
        <v>5</v>
      </c>
    </row>
    <row r="28" spans="2:6">
      <c r="B28" s="8" t="s">
        <v>6</v>
      </c>
      <c r="C28" s="25">
        <v>1196</v>
      </c>
      <c r="D28" s="25">
        <v>1196</v>
      </c>
      <c r="E28" s="25">
        <v>1196</v>
      </c>
      <c r="F28" s="78">
        <v>1196</v>
      </c>
    </row>
    <row r="29" spans="2:6">
      <c r="B29" s="8" t="s">
        <v>7</v>
      </c>
      <c r="C29" s="26">
        <f>+C28*$C$35/(1-$C$35)</f>
        <v>672.75</v>
      </c>
      <c r="D29" s="26">
        <f>+D28*$C$34/(1-$C$34)</f>
        <v>1295.666666666667</v>
      </c>
      <c r="E29" s="26">
        <f>+E28*$C$35/(1-$C$35)</f>
        <v>672.75</v>
      </c>
      <c r="F29" s="79">
        <f>+F28*$C$34/(1-$C$34)</f>
        <v>1295.666666666667</v>
      </c>
    </row>
    <row r="30" spans="2:6">
      <c r="B30" s="8" t="s">
        <v>8</v>
      </c>
      <c r="C30" s="26">
        <f>+C28+C29</f>
        <v>1868.75</v>
      </c>
      <c r="D30" s="26">
        <f>+D28+D29</f>
        <v>2491.666666666667</v>
      </c>
      <c r="E30" s="26">
        <f>+E28+E29</f>
        <v>1868.75</v>
      </c>
      <c r="F30" s="79">
        <f>+F28+F29</f>
        <v>2491.666666666667</v>
      </c>
    </row>
    <row r="31" spans="2:6">
      <c r="B31" s="8" t="s">
        <v>9</v>
      </c>
      <c r="C31" s="26">
        <f>+C30*0.27</f>
        <v>504.56250000000006</v>
      </c>
      <c r="D31" s="26">
        <f>+D30*0.27</f>
        <v>672.75000000000011</v>
      </c>
      <c r="E31" s="26">
        <f>+E30*0.21</f>
        <v>392.4375</v>
      </c>
      <c r="F31" s="79">
        <f>+F30*0.21</f>
        <v>523.25</v>
      </c>
    </row>
    <row r="32" spans="2:6">
      <c r="B32" s="11" t="s">
        <v>10</v>
      </c>
      <c r="C32" s="27">
        <f t="shared" ref="C32:D32" si="3">+C31+C30</f>
        <v>2373.3125</v>
      </c>
      <c r="D32" s="27">
        <f t="shared" si="3"/>
        <v>3164.416666666667</v>
      </c>
      <c r="E32" s="27">
        <f t="shared" ref="E32:F32" si="4">+E31+E30</f>
        <v>2261.1875</v>
      </c>
      <c r="F32" s="80">
        <f t="shared" si="4"/>
        <v>3014.916666666667</v>
      </c>
    </row>
    <row r="33" spans="2:6">
      <c r="B33" s="13"/>
      <c r="C33" s="28"/>
      <c r="D33" s="28"/>
      <c r="E33" s="61"/>
      <c r="F33" s="62"/>
    </row>
    <row r="34" spans="2:6">
      <c r="B34" s="13" t="s">
        <v>11</v>
      </c>
      <c r="C34" s="15">
        <v>0.52</v>
      </c>
      <c r="D34" s="28"/>
      <c r="E34" s="61"/>
      <c r="F34" s="62"/>
    </row>
    <row r="35" spans="2:6">
      <c r="B35" s="13" t="s">
        <v>12</v>
      </c>
      <c r="C35" s="15">
        <v>0.36</v>
      </c>
      <c r="D35" s="28"/>
      <c r="E35" s="61"/>
      <c r="F35" s="62"/>
    </row>
    <row r="36" spans="2:6">
      <c r="B36" s="13" t="s">
        <v>18</v>
      </c>
      <c r="C36" s="16">
        <v>0.28960739551726361</v>
      </c>
      <c r="D36" s="28"/>
      <c r="E36" s="61"/>
      <c r="F36" s="62"/>
    </row>
    <row r="37" spans="2:6">
      <c r="B37" s="13" t="s">
        <v>14</v>
      </c>
      <c r="C37" s="17">
        <f>+$C$3*C36</f>
        <v>38351.567583999975</v>
      </c>
      <c r="D37" s="28"/>
      <c r="E37" s="61"/>
      <c r="F37" s="62"/>
    </row>
    <row r="38" spans="2:6">
      <c r="B38" s="13" t="s">
        <v>15</v>
      </c>
      <c r="C38" s="18">
        <v>0.38</v>
      </c>
      <c r="D38" s="53"/>
      <c r="E38" s="63"/>
      <c r="F38" s="62"/>
    </row>
    <row r="39" spans="2:6">
      <c r="B39" s="13"/>
      <c r="C39" s="28"/>
      <c r="D39" s="54"/>
      <c r="E39" s="63"/>
      <c r="F39" s="62"/>
    </row>
    <row r="40" spans="2:6" ht="15.75" thickBot="1">
      <c r="B40" s="19" t="s">
        <v>16</v>
      </c>
      <c r="C40" s="20"/>
      <c r="D40" s="20"/>
      <c r="E40" s="61"/>
      <c r="F40" s="83">
        <f>+F41+F42</f>
        <v>5188.87121519624</v>
      </c>
    </row>
    <row r="41" spans="2:6">
      <c r="B41" s="29" t="s">
        <v>4</v>
      </c>
      <c r="C41" s="20"/>
      <c r="D41" s="20"/>
      <c r="E41" s="61"/>
      <c r="F41" s="84">
        <f>+(C31-E31)*C38*$C$37/1000</f>
        <v>1634.0644158352798</v>
      </c>
    </row>
    <row r="42" spans="2:6" ht="15.75" thickBot="1">
      <c r="B42" s="81" t="s">
        <v>36</v>
      </c>
      <c r="C42" s="22"/>
      <c r="D42" s="22"/>
      <c r="E42" s="82"/>
      <c r="F42" s="85">
        <f>+(D31-F31)*(1-C38)*$C$37/1000</f>
        <v>3554.8067993609602</v>
      </c>
    </row>
    <row r="43" spans="2:6">
      <c r="B43" s="23"/>
      <c r="C43" s="24"/>
      <c r="D43" s="24"/>
    </row>
    <row r="44" spans="2:6" ht="15.75" thickBot="1"/>
    <row r="45" spans="2:6" ht="15.75" thickBot="1">
      <c r="B45" s="30" t="s">
        <v>19</v>
      </c>
      <c r="C45" s="31"/>
      <c r="D45" s="31"/>
      <c r="E45" s="31"/>
      <c r="F45" s="71">
        <f>+F40+F20</f>
        <v>14141.488081614079</v>
      </c>
    </row>
  </sheetData>
  <sheetProtection sheet="1" objects="1" scenarios="1" selectLockedCells="1" selectUnlockedCells="1"/>
  <mergeCells count="6">
    <mergeCell ref="B6:B7"/>
    <mergeCell ref="C6:D6"/>
    <mergeCell ref="B26:B27"/>
    <mergeCell ref="C26:D26"/>
    <mergeCell ref="E6:F6"/>
    <mergeCell ref="E26:F26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D51"/>
  <sheetViews>
    <sheetView topLeftCell="A31" workbookViewId="0">
      <selection activeCell="G29" sqref="G29"/>
    </sheetView>
  </sheetViews>
  <sheetFormatPr defaultColWidth="8.85546875" defaultRowHeight="15"/>
  <cols>
    <col min="2" max="2" width="52.85546875" style="32" customWidth="1"/>
    <col min="3" max="3" width="11.28515625" style="32" customWidth="1"/>
    <col min="4" max="4" width="10.140625" bestFit="1" customWidth="1"/>
  </cols>
  <sheetData>
    <row r="1" spans="2:4" ht="18.75">
      <c r="B1" s="1" t="s">
        <v>58</v>
      </c>
    </row>
    <row r="2" spans="2:4">
      <c r="B2" s="33"/>
    </row>
    <row r="3" spans="2:4">
      <c r="B3" s="2" t="s">
        <v>20</v>
      </c>
      <c r="C3" s="4">
        <v>1745</v>
      </c>
    </row>
    <row r="4" spans="2:4">
      <c r="B4" s="2" t="s">
        <v>37</v>
      </c>
      <c r="C4">
        <v>20.96</v>
      </c>
    </row>
    <row r="5" spans="2:4" ht="15.75" thickBot="1">
      <c r="B5" s="34"/>
      <c r="C5" s="35"/>
    </row>
    <row r="6" spans="2:4">
      <c r="B6" s="5" t="s">
        <v>1</v>
      </c>
      <c r="C6" s="36"/>
      <c r="D6" s="56"/>
    </row>
    <row r="7" spans="2:4" ht="25.5">
      <c r="B7" s="137" t="s">
        <v>21</v>
      </c>
      <c r="C7" s="37" t="s">
        <v>3</v>
      </c>
      <c r="D7" s="65" t="s">
        <v>3</v>
      </c>
    </row>
    <row r="8" spans="2:4">
      <c r="B8" s="142"/>
      <c r="C8" s="38" t="s">
        <v>22</v>
      </c>
      <c r="D8" s="66" t="s">
        <v>22</v>
      </c>
    </row>
    <row r="9" spans="2:4">
      <c r="B9" s="8" t="s">
        <v>23</v>
      </c>
      <c r="C9" s="39">
        <v>5.01</v>
      </c>
      <c r="D9" s="67">
        <v>5.01</v>
      </c>
    </row>
    <row r="10" spans="2:4">
      <c r="B10" s="8" t="s">
        <v>24</v>
      </c>
      <c r="C10" s="40">
        <f>C9*$C$15/(1-$C$15)</f>
        <v>5.4275000000000002</v>
      </c>
      <c r="D10" s="68">
        <f>D9*$C$15/(1-$C$15)</f>
        <v>5.4275000000000002</v>
      </c>
    </row>
    <row r="11" spans="2:4">
      <c r="B11" s="8" t="s">
        <v>8</v>
      </c>
      <c r="C11" s="40">
        <f>+C9+C10</f>
        <v>10.4375</v>
      </c>
      <c r="D11" s="68">
        <f>+D9+D10</f>
        <v>10.4375</v>
      </c>
    </row>
    <row r="12" spans="2:4">
      <c r="B12" s="8" t="s">
        <v>9</v>
      </c>
      <c r="C12" s="40">
        <f>+C11*0.21</f>
        <v>2.191875</v>
      </c>
      <c r="D12" s="68">
        <f>+D11*0.105</f>
        <v>1.0959375</v>
      </c>
    </row>
    <row r="13" spans="2:4">
      <c r="B13" s="11" t="s">
        <v>10</v>
      </c>
      <c r="C13" s="41">
        <f>+C12+C11</f>
        <v>12.629375</v>
      </c>
      <c r="D13" s="69">
        <f>+D12+D11</f>
        <v>11.5334375</v>
      </c>
    </row>
    <row r="14" spans="2:4">
      <c r="B14" s="42"/>
      <c r="C14" s="43"/>
      <c r="D14" s="62"/>
    </row>
    <row r="15" spans="2:4">
      <c r="B15" s="13" t="s">
        <v>25</v>
      </c>
      <c r="C15" s="15">
        <v>0.52</v>
      </c>
      <c r="D15" s="62"/>
    </row>
    <row r="16" spans="2:4">
      <c r="B16" s="13" t="s">
        <v>13</v>
      </c>
      <c r="C16" s="16">
        <v>0.15</v>
      </c>
      <c r="D16" s="62"/>
    </row>
    <row r="17" spans="2:4">
      <c r="B17" s="13" t="s">
        <v>26</v>
      </c>
      <c r="C17" s="44">
        <f>+$C$3*C16</f>
        <v>261.75</v>
      </c>
      <c r="D17" s="62"/>
    </row>
    <row r="18" spans="2:4">
      <c r="B18" s="42"/>
      <c r="C18" s="45"/>
      <c r="D18" s="62"/>
    </row>
    <row r="19" spans="2:4" ht="15.75" thickBot="1">
      <c r="B19" s="21" t="s">
        <v>16</v>
      </c>
      <c r="C19" s="47"/>
      <c r="D19" s="64">
        <f>+(C12-D12)*C17*$C$4</f>
        <v>6012.6199875000002</v>
      </c>
    </row>
    <row r="20" spans="2:4" ht="15.75" thickBot="1">
      <c r="B20" s="48"/>
      <c r="C20" s="49"/>
    </row>
    <row r="21" spans="2:4">
      <c r="B21" s="5" t="s">
        <v>27</v>
      </c>
      <c r="C21" s="50"/>
      <c r="D21" s="56"/>
    </row>
    <row r="22" spans="2:4" ht="25.5" customHeight="1">
      <c r="B22" s="137" t="s">
        <v>21</v>
      </c>
      <c r="C22" s="37" t="s">
        <v>3</v>
      </c>
      <c r="D22" s="65" t="s">
        <v>3</v>
      </c>
    </row>
    <row r="23" spans="2:4">
      <c r="B23" s="142"/>
      <c r="C23" s="38" t="s">
        <v>22</v>
      </c>
      <c r="D23" s="66" t="s">
        <v>22</v>
      </c>
    </row>
    <row r="24" spans="2:4">
      <c r="B24" s="8" t="s">
        <v>23</v>
      </c>
      <c r="C24" s="39">
        <v>2.0499999999999998</v>
      </c>
      <c r="D24" s="67">
        <v>2.0499999999999998</v>
      </c>
    </row>
    <row r="25" spans="2:4">
      <c r="B25" s="8" t="s">
        <v>24</v>
      </c>
      <c r="C25" s="40">
        <f>C24*$C$30/(1-$C$30)</f>
        <v>2.2208333333333332</v>
      </c>
      <c r="D25" s="68">
        <f>D24*$C$30/(1-$C$30)</f>
        <v>2.2208333333333332</v>
      </c>
    </row>
    <row r="26" spans="2:4">
      <c r="B26" s="8" t="s">
        <v>8</v>
      </c>
      <c r="C26" s="40">
        <f>+C24+C25</f>
        <v>4.270833333333333</v>
      </c>
      <c r="D26" s="68">
        <f>+D24+D25</f>
        <v>4.270833333333333</v>
      </c>
    </row>
    <row r="27" spans="2:4">
      <c r="B27" s="8" t="s">
        <v>9</v>
      </c>
      <c r="C27" s="40">
        <f>+C26*0.21</f>
        <v>0.89687499999999987</v>
      </c>
      <c r="D27" s="68">
        <f>+D26*0.105</f>
        <v>0.44843749999999993</v>
      </c>
    </row>
    <row r="28" spans="2:4">
      <c r="B28" s="11" t="s">
        <v>10</v>
      </c>
      <c r="C28" s="41">
        <f>+C27+C26</f>
        <v>5.1677083333333327</v>
      </c>
      <c r="D28" s="69">
        <f>+D27+D26</f>
        <v>4.7192708333333329</v>
      </c>
    </row>
    <row r="29" spans="2:4">
      <c r="B29" s="42"/>
      <c r="C29" s="28"/>
      <c r="D29" s="62"/>
    </row>
    <row r="30" spans="2:4">
      <c r="B30" s="13" t="s">
        <v>25</v>
      </c>
      <c r="C30" s="15">
        <v>0.52</v>
      </c>
      <c r="D30" s="62"/>
    </row>
    <row r="31" spans="2:4">
      <c r="B31" s="13" t="s">
        <v>28</v>
      </c>
      <c r="C31" s="16">
        <v>5.28E-2</v>
      </c>
      <c r="D31" s="62"/>
    </row>
    <row r="32" spans="2:4">
      <c r="B32" s="13" t="s">
        <v>26</v>
      </c>
      <c r="C32" s="44">
        <f>+$C$3*C31</f>
        <v>92.135999999999996</v>
      </c>
      <c r="D32" s="62"/>
    </row>
    <row r="33" spans="2:4">
      <c r="B33" s="42"/>
      <c r="C33" s="45"/>
      <c r="D33" s="62"/>
    </row>
    <row r="34" spans="2:4" ht="15.75" thickBot="1">
      <c r="B34" s="21" t="s">
        <v>16</v>
      </c>
      <c r="C34" s="47"/>
      <c r="D34" s="64">
        <f>+(C27-D27)*C32*$C$4</f>
        <v>866.00929799999983</v>
      </c>
    </row>
    <row r="35" spans="2:4" ht="15.75" thickBot="1">
      <c r="B35" s="2"/>
      <c r="C35" s="2"/>
    </row>
    <row r="36" spans="2:4">
      <c r="B36" s="5" t="s">
        <v>17</v>
      </c>
      <c r="C36" s="50"/>
      <c r="D36" s="56"/>
    </row>
    <row r="37" spans="2:4" ht="25.5">
      <c r="B37" s="137" t="s">
        <v>21</v>
      </c>
      <c r="C37" s="37" t="s">
        <v>3</v>
      </c>
      <c r="D37" s="65" t="s">
        <v>3</v>
      </c>
    </row>
    <row r="38" spans="2:4">
      <c r="B38" s="142"/>
      <c r="C38" s="38" t="s">
        <v>22</v>
      </c>
      <c r="D38" s="66" t="s">
        <v>22</v>
      </c>
    </row>
    <row r="39" spans="2:4">
      <c r="B39" s="8" t="s">
        <v>23</v>
      </c>
      <c r="C39" s="39">
        <v>2.5299999999999998</v>
      </c>
      <c r="D39" s="67">
        <v>2.5299999999999998</v>
      </c>
    </row>
    <row r="40" spans="2:4">
      <c r="B40" s="8" t="s">
        <v>24</v>
      </c>
      <c r="C40" s="40">
        <f>C39*$C$45/(1-$C$45)</f>
        <v>2.7408333333333332</v>
      </c>
      <c r="D40" s="68">
        <f>D39*$C$45/(1-$C$45)</f>
        <v>2.7408333333333332</v>
      </c>
    </row>
    <row r="41" spans="2:4">
      <c r="B41" s="8" t="s">
        <v>8</v>
      </c>
      <c r="C41" s="40">
        <f>+C39+C40</f>
        <v>5.270833333333333</v>
      </c>
      <c r="D41" s="68">
        <f>+D39+D40</f>
        <v>5.270833333333333</v>
      </c>
    </row>
    <row r="42" spans="2:4">
      <c r="B42" s="8" t="s">
        <v>9</v>
      </c>
      <c r="C42" s="40">
        <f>+C41*0.27</f>
        <v>1.423125</v>
      </c>
      <c r="D42" s="68">
        <f>+D41*0.21</f>
        <v>1.1068749999999998</v>
      </c>
    </row>
    <row r="43" spans="2:4">
      <c r="B43" s="11" t="s">
        <v>10</v>
      </c>
      <c r="C43" s="41">
        <f>+C42+C41</f>
        <v>6.6939583333333328</v>
      </c>
      <c r="D43" s="69">
        <f>+D42+D41</f>
        <v>6.3777083333333326</v>
      </c>
    </row>
    <row r="44" spans="2:4">
      <c r="B44" s="13"/>
      <c r="C44" s="28"/>
      <c r="D44" s="62"/>
    </row>
    <row r="45" spans="2:4">
      <c r="B45" s="13" t="s">
        <v>25</v>
      </c>
      <c r="C45" s="15">
        <v>0.52</v>
      </c>
      <c r="D45" s="62"/>
    </row>
    <row r="46" spans="2:4">
      <c r="B46" s="13" t="s">
        <v>29</v>
      </c>
      <c r="C46" s="16">
        <v>3.5000000000000003E-2</v>
      </c>
      <c r="D46" s="62"/>
    </row>
    <row r="47" spans="2:4">
      <c r="B47" s="13" t="s">
        <v>26</v>
      </c>
      <c r="C47" s="44">
        <f>$C$3*C46</f>
        <v>61.075000000000003</v>
      </c>
      <c r="D47" s="62"/>
    </row>
    <row r="48" spans="2:4">
      <c r="B48" s="13"/>
      <c r="C48" s="51"/>
      <c r="D48" s="62"/>
    </row>
    <row r="49" spans="2:4" ht="15.75" thickBot="1">
      <c r="B49" s="21" t="s">
        <v>16</v>
      </c>
      <c r="C49" s="47"/>
      <c r="D49" s="64">
        <f>+(C42-D42)*C47*$C$4</f>
        <v>404.84174500000023</v>
      </c>
    </row>
    <row r="50" spans="2:4" ht="15.75" thickBot="1">
      <c r="B50" s="48"/>
      <c r="C50" s="49"/>
    </row>
    <row r="51" spans="2:4" ht="15.75" thickBot="1">
      <c r="B51" s="30" t="s">
        <v>16</v>
      </c>
      <c r="C51" s="31"/>
      <c r="D51" s="70">
        <f>+D49+D34+D19</f>
        <v>7283.4710305000008</v>
      </c>
    </row>
  </sheetData>
  <sheetProtection sheet="1" objects="1" scenarios="1" selectLockedCells="1" selectUnlockedCells="1"/>
  <mergeCells count="3">
    <mergeCell ref="B7:B8"/>
    <mergeCell ref="B22:B23"/>
    <mergeCell ref="B37:B38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G29" sqref="G29"/>
    </sheetView>
  </sheetViews>
  <sheetFormatPr defaultColWidth="8.85546875" defaultRowHeight="15"/>
  <cols>
    <col min="1" max="1" width="4.140625" style="86" customWidth="1"/>
    <col min="2" max="2" width="61.7109375" style="86" bestFit="1" customWidth="1"/>
    <col min="3" max="4" width="10.42578125" style="86" customWidth="1"/>
    <col min="5" max="5" width="10.42578125" style="86" bestFit="1" customWidth="1"/>
    <col min="6" max="6" width="9.42578125" style="86" bestFit="1" customWidth="1"/>
    <col min="7" max="7" width="11.42578125" style="86" bestFit="1" customWidth="1"/>
    <col min="8" max="16384" width="8.85546875" style="86"/>
  </cols>
  <sheetData>
    <row r="1" spans="1:8" ht="18.75">
      <c r="B1" s="1" t="s">
        <v>58</v>
      </c>
    </row>
    <row r="2" spans="1:8" s="32" customFormat="1" ht="15.75" thickBot="1">
      <c r="A2" s="49"/>
      <c r="B2" s="48"/>
      <c r="C2" s="49"/>
      <c r="D2" s="49"/>
      <c r="E2" s="91"/>
      <c r="F2" s="34"/>
      <c r="G2" s="52"/>
    </row>
    <row r="3" spans="1:8" s="32" customFormat="1">
      <c r="B3" s="5" t="s">
        <v>46</v>
      </c>
      <c r="C3" s="50"/>
      <c r="D3" s="50"/>
      <c r="E3" s="50"/>
      <c r="F3" s="92"/>
    </row>
    <row r="4" spans="1:8" s="32" customFormat="1" ht="25.5">
      <c r="B4" s="137" t="s">
        <v>21</v>
      </c>
      <c r="C4" s="37" t="s">
        <v>3</v>
      </c>
      <c r="D4" s="112" t="s">
        <v>54</v>
      </c>
      <c r="E4" s="143" t="s">
        <v>47</v>
      </c>
      <c r="F4" s="113"/>
    </row>
    <row r="5" spans="1:8" s="32" customFormat="1" ht="16.5" customHeight="1">
      <c r="B5" s="142"/>
      <c r="C5" s="38" t="s">
        <v>22</v>
      </c>
      <c r="D5" s="38" t="s">
        <v>22</v>
      </c>
      <c r="E5" s="144"/>
      <c r="F5" s="66" t="s">
        <v>48</v>
      </c>
    </row>
    <row r="6" spans="1:8" s="32" customFormat="1" ht="16.5" customHeight="1">
      <c r="B6" s="8" t="s">
        <v>23</v>
      </c>
      <c r="C6" s="39">
        <v>0.36878571428571422</v>
      </c>
      <c r="D6" s="39">
        <f>+C6</f>
        <v>0.36878571428571422</v>
      </c>
      <c r="E6" s="93"/>
      <c r="F6" s="94"/>
    </row>
    <row r="7" spans="1:8" s="32" customFormat="1" ht="16.5" customHeight="1">
      <c r="B7" s="8" t="s">
        <v>24</v>
      </c>
      <c r="C7" s="40">
        <f>+C6*($C$12)/(1-$C$12)</f>
        <v>0.39951785714285709</v>
      </c>
      <c r="D7" s="40">
        <f>D6*'[1]Gas natural'!$C$55/(1-'[1]Gas natural'!$C$55)</f>
        <v>0.39951785714285709</v>
      </c>
      <c r="E7" s="93"/>
      <c r="F7" s="94"/>
    </row>
    <row r="8" spans="1:8" s="32" customFormat="1" ht="16.5" customHeight="1">
      <c r="B8" s="8" t="s">
        <v>8</v>
      </c>
      <c r="C8" s="40">
        <f>+C6+C7</f>
        <v>0.76830357142857131</v>
      </c>
      <c r="D8" s="40">
        <f>+D6+D7</f>
        <v>0.76830357142857131</v>
      </c>
      <c r="E8" s="93"/>
      <c r="F8" s="94"/>
    </row>
    <row r="9" spans="1:8" s="32" customFormat="1" ht="16.5" customHeight="1">
      <c r="B9" s="8" t="s">
        <v>9</v>
      </c>
      <c r="C9" s="40">
        <f>+C8*0.21</f>
        <v>0.16134374999999998</v>
      </c>
      <c r="D9" s="40">
        <f>+D8*E9</f>
        <v>8.067187499999999E-2</v>
      </c>
      <c r="E9" s="95">
        <v>0.105</v>
      </c>
      <c r="F9" s="94">
        <f>+D9*Gas!C4</f>
        <v>1.6908824999999998</v>
      </c>
    </row>
    <row r="10" spans="1:8" s="32" customFormat="1" ht="16.5" customHeight="1">
      <c r="B10" s="11" t="s">
        <v>10</v>
      </c>
      <c r="C10" s="41">
        <f>+C9+C8</f>
        <v>0.92964732142857132</v>
      </c>
      <c r="D10" s="41">
        <f>+D9+D8</f>
        <v>0.84897544642857126</v>
      </c>
      <c r="E10" s="96"/>
      <c r="F10" s="97">
        <f>+F9</f>
        <v>1.6908824999999998</v>
      </c>
    </row>
    <row r="11" spans="1:8" s="32" customFormat="1">
      <c r="B11" s="13"/>
      <c r="C11" s="28"/>
      <c r="D11" s="28"/>
      <c r="E11" s="28"/>
      <c r="F11" s="98"/>
    </row>
    <row r="12" spans="1:8" s="32" customFormat="1">
      <c r="B12" s="13" t="s">
        <v>25</v>
      </c>
      <c r="C12" s="15">
        <v>0.52</v>
      </c>
      <c r="D12" s="15"/>
      <c r="E12" s="28"/>
      <c r="F12" s="98"/>
    </row>
    <row r="13" spans="1:8" s="32" customFormat="1">
      <c r="B13" s="13" t="s">
        <v>49</v>
      </c>
      <c r="C13" s="16">
        <v>3.5000000000000003E-2</v>
      </c>
      <c r="D13" s="16"/>
      <c r="E13" s="28"/>
      <c r="F13" s="98"/>
    </row>
    <row r="14" spans="1:8" s="32" customFormat="1">
      <c r="B14" s="13" t="s">
        <v>50</v>
      </c>
      <c r="C14" s="44">
        <f>'[1]Gas natural'!$C$3*C13</f>
        <v>61.075000000000003</v>
      </c>
      <c r="D14" s="44"/>
      <c r="E14" s="28"/>
      <c r="F14" s="98"/>
    </row>
    <row r="15" spans="1:8" s="32" customFormat="1" ht="25.5">
      <c r="A15" s="45"/>
      <c r="B15" s="13"/>
      <c r="C15" s="51"/>
      <c r="D15" s="51"/>
      <c r="E15" s="28"/>
      <c r="F15" s="99" t="s">
        <v>51</v>
      </c>
    </row>
    <row r="16" spans="1:8" s="32" customFormat="1" ht="15.75" thickBot="1">
      <c r="A16" s="100"/>
      <c r="B16" s="21" t="s">
        <v>16</v>
      </c>
      <c r="C16" s="47"/>
      <c r="D16" s="47"/>
      <c r="E16" s="101"/>
      <c r="F16" s="64">
        <f>F9*C14</f>
        <v>103.2706486875</v>
      </c>
      <c r="G16" s="52"/>
      <c r="H16" s="102"/>
    </row>
    <row r="17" spans="2:7" s="2" customFormat="1" ht="13.5" thickBot="1">
      <c r="E17" s="103"/>
      <c r="F17" s="103"/>
    </row>
    <row r="18" spans="2:7" s="2" customFormat="1" ht="15" customHeight="1">
      <c r="B18" s="5" t="s">
        <v>52</v>
      </c>
      <c r="C18" s="6"/>
      <c r="D18" s="104"/>
      <c r="E18" s="29"/>
      <c r="F18" s="46"/>
      <c r="G18" s="46"/>
    </row>
    <row r="19" spans="2:7" s="2" customFormat="1" ht="34.5" customHeight="1">
      <c r="B19" s="137" t="s">
        <v>2</v>
      </c>
      <c r="C19" s="145" t="s">
        <v>3</v>
      </c>
      <c r="D19" s="112" t="s">
        <v>54</v>
      </c>
      <c r="E19" s="19"/>
      <c r="F19" s="46"/>
      <c r="G19" s="20"/>
    </row>
    <row r="20" spans="2:7" s="2" customFormat="1" ht="18" customHeight="1">
      <c r="B20" s="138"/>
      <c r="C20" s="146"/>
      <c r="D20" s="114"/>
      <c r="E20" s="105"/>
      <c r="F20" s="46"/>
      <c r="G20" s="106"/>
    </row>
    <row r="21" spans="2:7" s="2" customFormat="1" ht="15" customHeight="1">
      <c r="B21" s="8" t="s">
        <v>6</v>
      </c>
      <c r="C21" s="9">
        <v>408.15592930959042</v>
      </c>
      <c r="D21" s="58">
        <f>+C21</f>
        <v>408.15592930959042</v>
      </c>
      <c r="E21" s="107"/>
      <c r="F21" s="46"/>
      <c r="G21" s="10"/>
    </row>
    <row r="22" spans="2:7" s="2" customFormat="1" ht="15" customHeight="1">
      <c r="B22" s="8" t="s">
        <v>7</v>
      </c>
      <c r="C22" s="10">
        <f>+C21*$C$27/(1-$C$27)</f>
        <v>442.16892341872295</v>
      </c>
      <c r="D22" s="10">
        <f>+C22</f>
        <v>442.16892341872295</v>
      </c>
      <c r="E22" s="108"/>
      <c r="F22" s="46"/>
      <c r="G22" s="10"/>
    </row>
    <row r="23" spans="2:7" s="2" customFormat="1" ht="15" customHeight="1">
      <c r="B23" s="8" t="s">
        <v>8</v>
      </c>
      <c r="C23" s="10">
        <f t="shared" ref="C23" si="0">+C21+C22</f>
        <v>850.32485272831332</v>
      </c>
      <c r="D23" s="10">
        <f>+D22+D21</f>
        <v>850.32485272831332</v>
      </c>
      <c r="E23" s="108"/>
      <c r="F23" s="46"/>
      <c r="G23" s="10"/>
    </row>
    <row r="24" spans="2:7" s="2" customFormat="1" ht="15" customHeight="1">
      <c r="B24" s="8" t="s">
        <v>9</v>
      </c>
      <c r="C24" s="10">
        <f>+C23*0.21</f>
        <v>178.56821907294579</v>
      </c>
      <c r="D24" s="10">
        <f>+D23*E9</f>
        <v>89.284109536472897</v>
      </c>
      <c r="E24" s="108"/>
      <c r="F24" s="46"/>
      <c r="G24" s="10"/>
    </row>
    <row r="25" spans="2:7" s="2" customFormat="1" ht="16.5" customHeight="1">
      <c r="B25" s="11" t="s">
        <v>10</v>
      </c>
      <c r="C25" s="12">
        <f t="shared" ref="C25:D25" si="1">+C24+C23</f>
        <v>1028.8930718012591</v>
      </c>
      <c r="D25" s="12">
        <f t="shared" si="1"/>
        <v>939.60896226478621</v>
      </c>
      <c r="E25" s="108"/>
      <c r="F25" s="46"/>
      <c r="G25" s="10"/>
    </row>
    <row r="26" spans="2:7" s="2" customFormat="1" ht="12.75">
      <c r="B26" s="13"/>
      <c r="C26" s="28"/>
      <c r="D26" s="98"/>
      <c r="E26" s="29"/>
      <c r="F26" s="109"/>
      <c r="G26" s="46"/>
    </row>
    <row r="27" spans="2:7" s="2" customFormat="1" ht="15" customHeight="1">
      <c r="B27" s="13" t="s">
        <v>11</v>
      </c>
      <c r="C27" s="15">
        <v>0.52</v>
      </c>
      <c r="D27" s="115"/>
      <c r="E27" s="110"/>
      <c r="F27" s="46"/>
      <c r="G27" s="46"/>
    </row>
    <row r="28" spans="2:7" s="2" customFormat="1" ht="15" customHeight="1">
      <c r="B28" s="13" t="s">
        <v>53</v>
      </c>
      <c r="C28" s="17">
        <v>17510.587404000002</v>
      </c>
      <c r="D28" s="116"/>
      <c r="E28" s="29"/>
      <c r="F28" s="46"/>
      <c r="G28" s="46"/>
    </row>
    <row r="29" spans="2:7" s="2" customFormat="1" ht="26.25" customHeight="1">
      <c r="B29" s="13"/>
      <c r="C29" s="18"/>
      <c r="D29" s="99" t="s">
        <v>51</v>
      </c>
      <c r="E29" s="29"/>
      <c r="F29" s="46"/>
      <c r="G29" s="46"/>
    </row>
    <row r="30" spans="2:7" s="24" customFormat="1" ht="15" customHeight="1" thickBot="1">
      <c r="B30" s="21" t="s">
        <v>16</v>
      </c>
      <c r="C30" s="22"/>
      <c r="D30" s="64">
        <f>+D24*C28/1000</f>
        <v>1563.4172038267188</v>
      </c>
      <c r="E30" s="19"/>
      <c r="F30" s="20"/>
      <c r="G30" s="20"/>
    </row>
    <row r="31" spans="2:7" s="2" customFormat="1" ht="12.75">
      <c r="F31" s="111"/>
    </row>
    <row r="32" spans="2:7" s="2" customFormat="1" ht="12.75">
      <c r="F32" s="111"/>
    </row>
  </sheetData>
  <sheetProtection sheet="1" objects="1" scenarios="1" selectLockedCells="1" selectUnlockedCells="1"/>
  <mergeCells count="4">
    <mergeCell ref="B4:B5"/>
    <mergeCell ref="E4:E5"/>
    <mergeCell ref="B19:B20"/>
    <mergeCell ref="C19:C20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G29" sqref="G29"/>
    </sheetView>
  </sheetViews>
  <sheetFormatPr defaultColWidth="8.85546875" defaultRowHeight="15"/>
  <cols>
    <col min="1" max="1" width="8.85546875" style="125"/>
    <col min="2" max="2" width="23.28515625" style="125" customWidth="1"/>
    <col min="3" max="3" width="17" style="125" customWidth="1"/>
    <col min="4" max="4" width="17.85546875" style="125" customWidth="1"/>
    <col min="5" max="5" width="8.85546875" style="125"/>
    <col min="6" max="6" width="10" style="125" bestFit="1" customWidth="1"/>
    <col min="7" max="7" width="9.28515625" style="125" bestFit="1" customWidth="1"/>
    <col min="8" max="16384" width="8.85546875" style="125"/>
  </cols>
  <sheetData>
    <row r="1" spans="2:7" ht="18.75">
      <c r="B1" s="1" t="s">
        <v>58</v>
      </c>
    </row>
    <row r="2" spans="2:7">
      <c r="B2" s="136" t="s">
        <v>40</v>
      </c>
    </row>
    <row r="4" spans="2:7" ht="75">
      <c r="B4" s="126"/>
      <c r="C4" s="127" t="s">
        <v>59</v>
      </c>
      <c r="D4" s="127" t="s">
        <v>41</v>
      </c>
      <c r="E4" s="128"/>
      <c r="F4" s="87"/>
    </row>
    <row r="5" spans="2:7" ht="15.75" customHeight="1">
      <c r="B5" s="123" t="s">
        <v>42</v>
      </c>
      <c r="C5" s="124">
        <v>4036.7216295660028</v>
      </c>
      <c r="D5" s="124">
        <v>1182.2466526708745</v>
      </c>
      <c r="F5" s="88"/>
      <c r="G5" s="88"/>
    </row>
    <row r="6" spans="2:7">
      <c r="B6" s="134" t="s">
        <v>43</v>
      </c>
      <c r="C6" s="135">
        <v>5308.9174301828743</v>
      </c>
      <c r="D6" s="135">
        <f>+C6*D5/C5</f>
        <v>1554.8384152054002</v>
      </c>
      <c r="E6" s="87"/>
      <c r="F6" s="87"/>
      <c r="G6" s="88"/>
    </row>
    <row r="7" spans="2:7">
      <c r="B7" s="129" t="s">
        <v>60</v>
      </c>
      <c r="C7" s="130">
        <f>+C6/2</f>
        <v>2654.4587150914372</v>
      </c>
      <c r="D7" s="130">
        <f>+D6*0.21/0.27</f>
        <v>1209.318767381978</v>
      </c>
    </row>
    <row r="8" spans="2:7">
      <c r="B8" s="132" t="s">
        <v>35</v>
      </c>
      <c r="C8" s="133">
        <f>+C6-C7</f>
        <v>2654.4587150914372</v>
      </c>
      <c r="D8" s="133">
        <f>+D6-D7</f>
        <v>345.51964782342225</v>
      </c>
    </row>
    <row r="9" spans="2:7">
      <c r="F9" s="131"/>
    </row>
    <row r="10" spans="2:7">
      <c r="B10" s="125" t="s">
        <v>44</v>
      </c>
    </row>
    <row r="11" spans="2:7">
      <c r="B11" s="125" t="s">
        <v>45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RESUMEN</vt:lpstr>
      <vt:lpstr>Electricidad</vt:lpstr>
      <vt:lpstr>Gas</vt:lpstr>
      <vt:lpstr>Tarifa Social</vt:lpstr>
      <vt:lpstr>Agua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2018-05-28T19:10:30Z</dcterms:created>
  <dcterms:modified xsi:type="dcterms:W3CDTF">2018-05-30T14:19:59Z</dcterms:modified>
</cp:coreProperties>
</file>